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EF41BD79-CC0C-6147-A611-88103AEB982C}" xr6:coauthVersionLast="45" xr6:coauthVersionMax="45" xr10:uidLastSave="{00000000-0000-0000-0000-000000000000}"/>
  <bookViews>
    <workbookView xWindow="0" yWindow="460" windowWidth="38400" windowHeight="2026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H32" i="1" l="1"/>
  <c r="I32" i="1" s="1"/>
  <c r="J32" i="1" s="1"/>
  <c r="K32" i="1" s="1"/>
  <c r="L32" i="1" s="1"/>
  <c r="M32" i="1" s="1"/>
  <c r="N32" i="1" s="1"/>
  <c r="O32" i="1" s="1"/>
  <c r="P32" i="1" s="1"/>
  <c r="T11" i="1" s="1"/>
  <c r="G32" i="1"/>
  <c r="C32" i="1"/>
  <c r="P31" i="1"/>
  <c r="F23" i="1"/>
  <c r="C23" i="1"/>
  <c r="N17" i="1" s="1"/>
  <c r="F21" i="1"/>
  <c r="G21" i="1" s="1"/>
  <c r="H21" i="1" s="1"/>
  <c r="I21" i="1" s="1"/>
  <c r="F20" i="1"/>
  <c r="C20" i="1"/>
  <c r="F33" i="1" s="1"/>
  <c r="G19" i="1"/>
  <c r="G20" i="1" s="1"/>
  <c r="F19" i="1"/>
  <c r="G18" i="1"/>
  <c r="H18" i="1" s="1"/>
  <c r="I18" i="1" s="1"/>
  <c r="J18" i="1" s="1"/>
  <c r="K18" i="1" s="1"/>
  <c r="L18" i="1" s="1"/>
  <c r="M18" i="1" s="1"/>
  <c r="N18" i="1" s="1"/>
  <c r="O18" i="1" s="1"/>
  <c r="F18" i="1"/>
  <c r="C18" i="1"/>
  <c r="F30" i="1" s="1"/>
  <c r="F13" i="1"/>
  <c r="F22" i="1" s="1"/>
  <c r="O8" i="1"/>
  <c r="N8" i="1"/>
  <c r="M8" i="1"/>
  <c r="L8" i="1"/>
  <c r="K8" i="1"/>
  <c r="J8" i="1"/>
  <c r="I8" i="1"/>
  <c r="H8" i="1"/>
  <c r="G8" i="1"/>
  <c r="F8" i="1"/>
  <c r="F24" i="1" l="1"/>
  <c r="P33" i="1"/>
  <c r="T17" i="1" s="1"/>
  <c r="G33" i="1"/>
  <c r="H33" i="1" s="1"/>
  <c r="I33" i="1" s="1"/>
  <c r="J33" i="1" s="1"/>
  <c r="K33" i="1" s="1"/>
  <c r="L33" i="1" s="1"/>
  <c r="M33" i="1" s="1"/>
  <c r="N33" i="1" s="1"/>
  <c r="O33" i="1" s="1"/>
  <c r="T10" i="1" s="1"/>
  <c r="T12" i="1" s="1"/>
  <c r="G30" i="1"/>
  <c r="H30" i="1" s="1"/>
  <c r="I30" i="1" s="1"/>
  <c r="J30" i="1" s="1"/>
  <c r="K30" i="1" s="1"/>
  <c r="L30" i="1" s="1"/>
  <c r="M30" i="1" s="1"/>
  <c r="N30" i="1" s="1"/>
  <c r="O30" i="1" s="1"/>
  <c r="F29" i="1"/>
  <c r="I17" i="1"/>
  <c r="M17" i="1"/>
  <c r="H19" i="1"/>
  <c r="G12" i="1"/>
  <c r="G13" i="1"/>
  <c r="G17" i="1"/>
  <c r="K17" i="1"/>
  <c r="O17" i="1"/>
  <c r="H17" i="1"/>
  <c r="L17" i="1"/>
  <c r="F17" i="1"/>
  <c r="J17" i="1"/>
  <c r="F26" i="1" l="1"/>
  <c r="P17" i="1"/>
  <c r="I19" i="1"/>
  <c r="H20" i="1"/>
  <c r="P30" i="1"/>
  <c r="T16" i="1" s="1"/>
  <c r="T18" i="1" s="1"/>
  <c r="G29" i="1"/>
  <c r="H12" i="1"/>
  <c r="H13" i="1" s="1"/>
  <c r="G22" i="1"/>
  <c r="G26" i="1" s="1"/>
  <c r="G27" i="1" s="1"/>
  <c r="H29" i="1" l="1"/>
  <c r="H22" i="1"/>
  <c r="H26" i="1" s="1"/>
  <c r="H27" i="1" s="1"/>
  <c r="I12" i="1"/>
  <c r="I13" i="1" s="1"/>
  <c r="J19" i="1"/>
  <c r="I20" i="1"/>
  <c r="F27" i="1"/>
  <c r="I29" i="1" l="1"/>
  <c r="J12" i="1"/>
  <c r="J13" i="1" s="1"/>
  <c r="I22" i="1"/>
  <c r="I26" i="1" s="1"/>
  <c r="I27" i="1" s="1"/>
  <c r="J20" i="1"/>
  <c r="K19" i="1"/>
  <c r="J22" i="1" l="1"/>
  <c r="J21" i="1"/>
  <c r="K21" i="1" s="1"/>
  <c r="L21" i="1" s="1"/>
  <c r="M21" i="1" s="1"/>
  <c r="K12" i="1"/>
  <c r="K13" i="1" s="1"/>
  <c r="J29" i="1"/>
  <c r="K20" i="1"/>
  <c r="L19" i="1"/>
  <c r="K29" i="1" l="1"/>
  <c r="L12" i="1"/>
  <c r="L13" i="1" s="1"/>
  <c r="K22" i="1"/>
  <c r="K26" i="1" s="1"/>
  <c r="K27" i="1" s="1"/>
  <c r="M19" i="1"/>
  <c r="L20" i="1"/>
  <c r="J26" i="1"/>
  <c r="L29" i="1" l="1"/>
  <c r="L22" i="1"/>
  <c r="L26" i="1" s="1"/>
  <c r="L27" i="1" s="1"/>
  <c r="M12" i="1"/>
  <c r="M13" i="1" s="1"/>
  <c r="J27" i="1"/>
  <c r="N19" i="1"/>
  <c r="M20" i="1"/>
  <c r="M29" i="1" l="1"/>
  <c r="N12" i="1"/>
  <c r="N13" i="1" s="1"/>
  <c r="M22" i="1"/>
  <c r="M26" i="1" s="1"/>
  <c r="M27" i="1" s="1"/>
  <c r="N20" i="1"/>
  <c r="O19" i="1"/>
  <c r="N22" i="1" l="1"/>
  <c r="N21" i="1"/>
  <c r="O12" i="1"/>
  <c r="O13" i="1" s="1"/>
  <c r="N29" i="1"/>
  <c r="O20" i="1"/>
  <c r="O29" i="1" l="1"/>
  <c r="S9" i="1"/>
  <c r="S12" i="1" s="1"/>
  <c r="O22" i="1"/>
  <c r="O21" i="1"/>
  <c r="O26" i="1" s="1"/>
  <c r="N26" i="1"/>
  <c r="N27" i="1" s="1"/>
  <c r="O27" i="1" l="1"/>
  <c r="P27" i="1" s="1"/>
  <c r="P26" i="1"/>
  <c r="S15" i="1" s="1"/>
  <c r="S18" i="1" s="1"/>
</calcChain>
</file>

<file path=xl/sharedStrings.xml><?xml version="1.0" encoding="utf-8"?>
<sst xmlns="http://schemas.openxmlformats.org/spreadsheetml/2006/main" count="69" uniqueCount="57">
  <si>
    <t>BU RENKTEKİ KUTULARA VERİ GİREBİLİRSİNİZ</t>
  </si>
  <si>
    <t>GENEL KABULLER</t>
  </si>
  <si>
    <t>Beklenti Enf.</t>
  </si>
  <si>
    <t>Toplam</t>
  </si>
  <si>
    <t>Ev Alan</t>
  </si>
  <si>
    <t>Ev Almayıp Kredi Taksit Ödemesi Kadar Birikim Yapan</t>
  </si>
  <si>
    <t>ENFLASYON</t>
  </si>
  <si>
    <t>Getiriler</t>
  </si>
  <si>
    <t>KİRA ARTIŞI</t>
  </si>
  <si>
    <t>Yıl</t>
  </si>
  <si>
    <t>Evin Değeri</t>
  </si>
  <si>
    <t>GELİRLER ARTIŞI</t>
  </si>
  <si>
    <t>Peşinat Getirisi</t>
  </si>
  <si>
    <t>GAYRİMENKUL DEĞ ART REEL</t>
  </si>
  <si>
    <t>Birikim Getirisi</t>
  </si>
  <si>
    <t>VADELİ MEVDUAT</t>
  </si>
  <si>
    <t>Konut Nominal Değer Artışı</t>
  </si>
  <si>
    <t>Getiriler Toplamı</t>
  </si>
  <si>
    <t>Konutun Güncel Değeri (Enf+Reel)</t>
  </si>
  <si>
    <t>Giderler</t>
  </si>
  <si>
    <t>KABULLER</t>
  </si>
  <si>
    <t>Kredi Taksiti ve Eve Ait Giderler</t>
  </si>
  <si>
    <t>ORT EV</t>
  </si>
  <si>
    <t>Kira Gideri</t>
  </si>
  <si>
    <t>ORT KİRA ÇARPANI (AY)</t>
  </si>
  <si>
    <t>Kredi Taksiti</t>
  </si>
  <si>
    <t>Birikim Ödemeleri</t>
  </si>
  <si>
    <t>ORT KİRA</t>
  </si>
  <si>
    <t>DASK</t>
  </si>
  <si>
    <t>Giderler Toplamı</t>
  </si>
  <si>
    <t>PEŞİNAT ORANI</t>
  </si>
  <si>
    <t>Konut Sigortası</t>
  </si>
  <si>
    <t>PEŞİNAT</t>
  </si>
  <si>
    <t>Hayat Sigortası</t>
  </si>
  <si>
    <t>AYLIK KK ORANI</t>
  </si>
  <si>
    <t>Emlak Vergisi</t>
  </si>
  <si>
    <t>VADE SÜRESİ</t>
  </si>
  <si>
    <t>Bina Yönetimi Mal Sahibi Payı</t>
  </si>
  <si>
    <t>10 YIL 120 AY</t>
  </si>
  <si>
    <t>Tapu H+DS+DM</t>
  </si>
  <si>
    <t>DOSYA MASRAFI</t>
  </si>
  <si>
    <t>Nakit %20 Peşinat</t>
  </si>
  <si>
    <t>DASK YILLIK</t>
  </si>
  <si>
    <t>KONUT SİGORTASI YILLIK</t>
  </si>
  <si>
    <t>HAYAT SİGORTASI YILLIK</t>
  </si>
  <si>
    <t>Giderler Net Bugünkü Değer</t>
  </si>
  <si>
    <t>TAPU HARCI ALICI</t>
  </si>
  <si>
    <t>Aylık Kira Çarpanı (Ay)</t>
  </si>
  <si>
    <t>KOMİSYON YOK</t>
  </si>
  <si>
    <t>Kira</t>
  </si>
  <si>
    <t>DÖNER SERMAYE HARCI</t>
  </si>
  <si>
    <t>Ödeme Gücü Sabit / Taksitle Aynı</t>
  </si>
  <si>
    <t>EMLAK VERGİSİ BŞEHİR BİNDE 2 YARI DEĞERİN</t>
  </si>
  <si>
    <t>BİNA MAL SAHİBİ KATKISI (binde 5)</t>
  </si>
  <si>
    <t>Eldeki Peşinat</t>
  </si>
  <si>
    <t>Orjinal Dosya Linki</t>
  </si>
  <si>
    <t>Gayrimenkul Okulu Youtube Kanalı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</si>
</sst>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₺]#,##0.00"/>
    <numFmt numFmtId="165" formatCode="#,##0.000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10"/>
      <color rgb="FF38761D"/>
      <name val="Arial"/>
    </font>
    <font>
      <sz val="11"/>
      <color rgb="FF11A9CC"/>
      <name val="Inconsolata"/>
    </font>
    <font>
      <b/>
      <sz val="10"/>
      <color rgb="FFFF0000"/>
      <name val="Arial"/>
    </font>
    <font>
      <sz val="11"/>
      <color rgb="FF000000"/>
      <name val="Inconsolata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2" fillId="3" borderId="2" xfId="0" applyFont="1" applyFill="1" applyBorder="1"/>
    <xf numFmtId="0" fontId="1" fillId="3" borderId="3" xfId="0" applyFont="1" applyFill="1" applyBorder="1" applyAlignment="1"/>
    <xf numFmtId="0" fontId="1" fillId="0" borderId="2" xfId="0" applyFont="1" applyBorder="1" applyAlignment="1"/>
    <xf numFmtId="0" fontId="1" fillId="4" borderId="4" xfId="0" applyFont="1" applyFill="1" applyBorder="1" applyAlignment="1"/>
    <xf numFmtId="0" fontId="1" fillId="4" borderId="3" xfId="0" applyFont="1" applyFill="1" applyBorder="1" applyAlignment="1"/>
    <xf numFmtId="0" fontId="1" fillId="0" borderId="5" xfId="0" applyFont="1" applyBorder="1" applyAlignment="1"/>
    <xf numFmtId="0" fontId="1" fillId="5" borderId="2" xfId="0" applyFont="1" applyFill="1" applyBorder="1" applyAlignment="1"/>
    <xf numFmtId="0" fontId="3" fillId="5" borderId="4" xfId="0" applyFont="1" applyFill="1" applyBorder="1" applyAlignment="1"/>
    <xf numFmtId="0" fontId="3" fillId="5" borderId="3" xfId="0" applyFont="1" applyFill="1" applyBorder="1" applyAlignment="1">
      <alignment wrapText="1"/>
    </xf>
    <xf numFmtId="0" fontId="1" fillId="3" borderId="6" xfId="0" applyFont="1" applyFill="1" applyBorder="1" applyAlignment="1"/>
    <xf numFmtId="9" fontId="1" fillId="2" borderId="7" xfId="0" applyNumberFormat="1" applyFont="1" applyFill="1" applyBorder="1" applyAlignment="1">
      <alignment horizontal="right"/>
    </xf>
    <xf numFmtId="0" fontId="1" fillId="0" borderId="6" xfId="0" applyFont="1" applyBorder="1" applyAlignment="1"/>
    <xf numFmtId="10" fontId="1" fillId="0" borderId="0" xfId="0" applyNumberFormat="1" applyFont="1" applyAlignment="1">
      <alignment horizontal="right"/>
    </xf>
    <xf numFmtId="10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3" fillId="5" borderId="6" xfId="0" applyFont="1" applyFill="1" applyBorder="1" applyAlignment="1"/>
    <xf numFmtId="0" fontId="1" fillId="3" borderId="0" xfId="0" applyFont="1" applyFill="1" applyAlignment="1"/>
    <xf numFmtId="0" fontId="1" fillId="3" borderId="7" xfId="0" applyFont="1" applyFill="1" applyBorder="1" applyAlignment="1"/>
    <xf numFmtId="0" fontId="4" fillId="6" borderId="6" xfId="0" applyFont="1" applyFill="1" applyBorder="1" applyAlignment="1"/>
    <xf numFmtId="0" fontId="5" fillId="6" borderId="0" xfId="0" applyFont="1" applyFill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" fillId="5" borderId="6" xfId="0" applyFont="1" applyFill="1" applyBorder="1" applyAlignment="1"/>
    <xf numFmtId="164" fontId="1" fillId="3" borderId="0" xfId="0" applyNumberFormat="1" applyFont="1" applyFill="1" applyAlignment="1">
      <alignment horizontal="right"/>
    </xf>
    <xf numFmtId="0" fontId="1" fillId="3" borderId="7" xfId="0" applyFont="1" applyFill="1" applyBorder="1" applyAlignment="1">
      <alignment horizontal="right"/>
    </xf>
    <xf numFmtId="9" fontId="1" fillId="3" borderId="7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10" fontId="1" fillId="2" borderId="7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/>
    <xf numFmtId="164" fontId="1" fillId="3" borderId="7" xfId="0" applyNumberFormat="1" applyFont="1" applyFill="1" applyBorder="1" applyAlignment="1"/>
    <xf numFmtId="164" fontId="3" fillId="3" borderId="0" xfId="0" applyNumberFormat="1" applyFont="1" applyFill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/>
    </xf>
    <xf numFmtId="164" fontId="7" fillId="7" borderId="7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/>
    <xf numFmtId="0" fontId="3" fillId="8" borderId="6" xfId="0" applyFont="1" applyFill="1" applyBorder="1" applyAlignment="1"/>
    <xf numFmtId="164" fontId="1" fillId="8" borderId="0" xfId="0" applyNumberFormat="1" applyFont="1" applyFill="1" applyAlignment="1"/>
    <xf numFmtId="164" fontId="1" fillId="8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>
      <alignment horizontal="right"/>
    </xf>
    <xf numFmtId="0" fontId="1" fillId="8" borderId="6" xfId="0" applyFont="1" applyFill="1" applyBorder="1" applyAlignment="1"/>
    <xf numFmtId="164" fontId="1" fillId="8" borderId="0" xfId="0" applyNumberFormat="1" applyFont="1" applyFill="1" applyAlignment="1">
      <alignment horizontal="right"/>
    </xf>
    <xf numFmtId="164" fontId="8" fillId="8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164" fontId="1" fillId="8" borderId="7" xfId="0" applyNumberFormat="1" applyFont="1" applyFill="1" applyBorder="1" applyAlignment="1">
      <alignment horizontal="right"/>
    </xf>
    <xf numFmtId="164" fontId="1" fillId="8" borderId="9" xfId="0" applyNumberFormat="1" applyFont="1" applyFill="1" applyBorder="1" applyAlignment="1">
      <alignment horizontal="right"/>
    </xf>
    <xf numFmtId="164" fontId="9" fillId="8" borderId="9" xfId="0" applyNumberFormat="1" applyFont="1" applyFill="1" applyBorder="1" applyAlignment="1">
      <alignment horizontal="right"/>
    </xf>
    <xf numFmtId="164" fontId="9" fillId="8" borderId="10" xfId="0" applyNumberFormat="1" applyFont="1" applyFill="1" applyBorder="1" applyAlignment="1">
      <alignment horizontal="right"/>
    </xf>
    <xf numFmtId="0" fontId="3" fillId="5" borderId="11" xfId="0" applyFont="1" applyFill="1" applyBorder="1" applyAlignment="1"/>
    <xf numFmtId="164" fontId="3" fillId="3" borderId="12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0" fontId="1" fillId="8" borderId="14" xfId="0" applyFont="1" applyFill="1" applyBorder="1" applyAlignment="1"/>
    <xf numFmtId="0" fontId="1" fillId="2" borderId="7" xfId="0" applyFont="1" applyFill="1" applyBorder="1" applyAlignment="1"/>
    <xf numFmtId="3" fontId="1" fillId="2" borderId="7" xfId="0" applyNumberFormat="1" applyFont="1" applyFill="1" applyBorder="1" applyAlignment="1"/>
    <xf numFmtId="3" fontId="1" fillId="8" borderId="0" xfId="0" applyNumberFormat="1" applyFont="1" applyFill="1" applyAlignment="1">
      <alignment horizontal="right"/>
    </xf>
    <xf numFmtId="0" fontId="3" fillId="0" borderId="6" xfId="0" applyFont="1" applyBorder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1" fillId="0" borderId="7" xfId="0" applyNumberFormat="1" applyFont="1" applyBorder="1" applyAlignment="1"/>
    <xf numFmtId="0" fontId="3" fillId="9" borderId="6" xfId="0" applyFont="1" applyFill="1" applyBorder="1" applyAlignment="1"/>
    <xf numFmtId="164" fontId="1" fillId="9" borderId="0" xfId="0" applyNumberFormat="1" applyFont="1" applyFill="1" applyAlignment="1">
      <alignment horizontal="right"/>
    </xf>
    <xf numFmtId="164" fontId="1" fillId="9" borderId="7" xfId="0" applyNumberFormat="1" applyFont="1" applyFill="1" applyBorder="1" applyAlignment="1">
      <alignment horizontal="right"/>
    </xf>
    <xf numFmtId="164" fontId="1" fillId="9" borderId="8" xfId="0" applyNumberFormat="1" applyFont="1" applyFill="1" applyBorder="1" applyAlignment="1">
      <alignment horizontal="right"/>
    </xf>
    <xf numFmtId="0" fontId="1" fillId="10" borderId="6" xfId="0" applyFont="1" applyFill="1" applyBorder="1" applyAlignment="1"/>
    <xf numFmtId="1" fontId="1" fillId="10" borderId="0" xfId="0" applyNumberFormat="1" applyFont="1" applyFill="1" applyAlignment="1">
      <alignment horizontal="right"/>
    </xf>
    <xf numFmtId="1" fontId="1" fillId="10" borderId="7" xfId="0" applyNumberFormat="1" applyFont="1" applyFill="1" applyBorder="1" applyAlignment="1">
      <alignment horizontal="right"/>
    </xf>
    <xf numFmtId="164" fontId="3" fillId="11" borderId="6" xfId="0" applyNumberFormat="1" applyFont="1" applyFill="1" applyBorder="1" applyAlignment="1"/>
    <xf numFmtId="164" fontId="1" fillId="11" borderId="0" xfId="0" applyNumberFormat="1" applyFont="1" applyFill="1" applyAlignment="1">
      <alignment horizontal="right"/>
    </xf>
    <xf numFmtId="164" fontId="1" fillId="11" borderId="7" xfId="0" applyNumberFormat="1" applyFont="1" applyFill="1" applyBorder="1" applyAlignment="1">
      <alignment horizontal="right"/>
    </xf>
    <xf numFmtId="164" fontId="8" fillId="11" borderId="8" xfId="0" applyNumberFormat="1" applyFont="1" applyFill="1" applyBorder="1" applyAlignment="1">
      <alignment horizontal="right"/>
    </xf>
    <xf numFmtId="0" fontId="3" fillId="12" borderId="6" xfId="0" applyFont="1" applyFill="1" applyBorder="1" applyAlignment="1"/>
    <xf numFmtId="164" fontId="1" fillId="12" borderId="0" xfId="0" applyNumberFormat="1" applyFont="1" applyFill="1" applyAlignment="1">
      <alignment horizontal="right"/>
    </xf>
    <xf numFmtId="164" fontId="1" fillId="12" borderId="7" xfId="0" applyNumberFormat="1" applyFont="1" applyFill="1" applyBorder="1" applyAlignment="1">
      <alignment horizontal="right"/>
    </xf>
    <xf numFmtId="164" fontId="8" fillId="12" borderId="8" xfId="0" applyNumberFormat="1" applyFont="1" applyFill="1" applyBorder="1" applyAlignment="1">
      <alignment horizontal="right"/>
    </xf>
    <xf numFmtId="0" fontId="1" fillId="12" borderId="6" xfId="0" applyFont="1" applyFill="1" applyBorder="1" applyAlignment="1"/>
    <xf numFmtId="164" fontId="6" fillId="12" borderId="8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165" fontId="1" fillId="2" borderId="13" xfId="0" applyNumberFormat="1" applyFont="1" applyFill="1" applyBorder="1" applyAlignment="1">
      <alignment horizontal="right"/>
    </xf>
    <xf numFmtId="164" fontId="3" fillId="10" borderId="11" xfId="0" applyNumberFormat="1" applyFont="1" applyFill="1" applyBorder="1" applyAlignment="1"/>
    <xf numFmtId="164" fontId="1" fillId="10" borderId="12" xfId="0" applyNumberFormat="1" applyFont="1" applyFill="1" applyBorder="1" applyAlignment="1">
      <alignment horizontal="right"/>
    </xf>
    <xf numFmtId="164" fontId="3" fillId="10" borderId="13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/>
    <xf numFmtId="0" fontId="10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evmevduat202109" TargetMode="External"/><Relationship Id="rId1" Type="http://schemas.openxmlformats.org/officeDocument/2006/relationships/hyperlink" Target="https://www.youtube.com/gayrimenkuloku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864"/>
  <sheetViews>
    <sheetView tabSelected="1" workbookViewId="0">
      <selection activeCell="C40" sqref="C40"/>
    </sheetView>
  </sheetViews>
  <sheetFormatPr baseColWidth="10" defaultColWidth="14.5" defaultRowHeight="15.75" customHeight="1" x14ac:dyDescent="0.15"/>
  <cols>
    <col min="2" max="2" width="46.6640625" customWidth="1"/>
    <col min="5" max="5" width="34.33203125" customWidth="1"/>
    <col min="6" max="16" width="14.5" customWidth="1"/>
    <col min="22" max="22" width="19.1640625" customWidth="1"/>
    <col min="23" max="23" width="20.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15">
      <c r="A4" s="1"/>
      <c r="B4" s="2" t="s">
        <v>0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4" t="s">
        <v>1</v>
      </c>
      <c r="C7" s="5"/>
      <c r="D7" s="1"/>
      <c r="E7" s="6"/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8" t="s">
        <v>2</v>
      </c>
      <c r="P7" s="9" t="s">
        <v>3</v>
      </c>
      <c r="Q7" s="1"/>
      <c r="R7" s="10"/>
      <c r="S7" s="11" t="s">
        <v>4</v>
      </c>
      <c r="T7" s="12" t="s">
        <v>5</v>
      </c>
      <c r="X7" s="1"/>
      <c r="Y7" s="1"/>
      <c r="Z7" s="1"/>
    </row>
    <row r="8" spans="1:26" ht="15.75" customHeight="1" x14ac:dyDescent="0.15">
      <c r="A8" s="1"/>
      <c r="B8" s="13" t="s">
        <v>6</v>
      </c>
      <c r="C8" s="14">
        <v>0.18</v>
      </c>
      <c r="D8" s="1"/>
      <c r="E8" s="15"/>
      <c r="F8" s="16">
        <f t="shared" ref="F8:O8" si="0">$C$8</f>
        <v>0.18</v>
      </c>
      <c r="G8" s="16">
        <f t="shared" si="0"/>
        <v>0.18</v>
      </c>
      <c r="H8" s="16">
        <f t="shared" si="0"/>
        <v>0.18</v>
      </c>
      <c r="I8" s="16">
        <f t="shared" si="0"/>
        <v>0.18</v>
      </c>
      <c r="J8" s="16">
        <f t="shared" si="0"/>
        <v>0.18</v>
      </c>
      <c r="K8" s="16">
        <f t="shared" si="0"/>
        <v>0.18</v>
      </c>
      <c r="L8" s="16">
        <f t="shared" si="0"/>
        <v>0.18</v>
      </c>
      <c r="M8" s="16">
        <f t="shared" si="0"/>
        <v>0.18</v>
      </c>
      <c r="N8" s="16">
        <f t="shared" si="0"/>
        <v>0.18</v>
      </c>
      <c r="O8" s="17">
        <f t="shared" si="0"/>
        <v>0.18</v>
      </c>
      <c r="P8" s="18"/>
      <c r="Q8" s="1"/>
      <c r="R8" s="19" t="s">
        <v>7</v>
      </c>
      <c r="S8" s="20"/>
      <c r="T8" s="21"/>
      <c r="X8" s="1"/>
      <c r="Y8" s="1"/>
      <c r="Z8" s="1"/>
    </row>
    <row r="9" spans="1:26" ht="15.75" customHeight="1" x14ac:dyDescent="0.15">
      <c r="A9" s="1"/>
      <c r="B9" s="13" t="s">
        <v>8</v>
      </c>
      <c r="C9" s="14">
        <v>0.18</v>
      </c>
      <c r="D9" s="1"/>
      <c r="E9" s="22" t="s">
        <v>9</v>
      </c>
      <c r="F9" s="23">
        <v>1</v>
      </c>
      <c r="G9" s="23">
        <v>2</v>
      </c>
      <c r="H9" s="23">
        <v>3</v>
      </c>
      <c r="I9" s="23">
        <v>4</v>
      </c>
      <c r="J9" s="23">
        <v>5</v>
      </c>
      <c r="K9" s="23">
        <v>6</v>
      </c>
      <c r="L9" s="23">
        <v>7</v>
      </c>
      <c r="M9" s="23">
        <v>8</v>
      </c>
      <c r="N9" s="23">
        <v>9</v>
      </c>
      <c r="O9" s="24">
        <v>10</v>
      </c>
      <c r="P9" s="18"/>
      <c r="Q9" s="1"/>
      <c r="R9" s="25" t="s">
        <v>10</v>
      </c>
      <c r="S9" s="26">
        <f>O13</f>
        <v>2484741.1469144924</v>
      </c>
      <c r="T9" s="27">
        <v>0</v>
      </c>
      <c r="X9" s="1"/>
      <c r="Y9" s="1"/>
      <c r="Z9" s="1"/>
    </row>
    <row r="10" spans="1:26" ht="15.75" customHeight="1" x14ac:dyDescent="0.15">
      <c r="A10" s="1"/>
      <c r="B10" s="13" t="s">
        <v>11</v>
      </c>
      <c r="C10" s="28">
        <v>0.18</v>
      </c>
      <c r="D10" s="1"/>
      <c r="E10" s="13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8"/>
      <c r="Q10" s="1"/>
      <c r="R10" s="25" t="s">
        <v>12</v>
      </c>
      <c r="S10" s="29">
        <v>0</v>
      </c>
      <c r="T10" s="30">
        <f>O33</f>
        <v>325194.85211566411</v>
      </c>
      <c r="X10" s="1"/>
      <c r="Y10" s="1"/>
      <c r="Z10" s="1"/>
    </row>
    <row r="11" spans="1:26" ht="15.75" customHeight="1" x14ac:dyDescent="0.15">
      <c r="A11" s="1"/>
      <c r="B11" s="13" t="s">
        <v>13</v>
      </c>
      <c r="C11" s="31">
        <v>1.4999999999999999E-2</v>
      </c>
      <c r="D11" s="1"/>
      <c r="E11" s="13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18"/>
      <c r="Q11" s="1"/>
      <c r="R11" s="25" t="s">
        <v>14</v>
      </c>
      <c r="S11" s="29">
        <v>0</v>
      </c>
      <c r="T11" s="30">
        <f>P32</f>
        <v>1086214.5404047729</v>
      </c>
      <c r="X11" s="1"/>
      <c r="Y11" s="1"/>
      <c r="Z11" s="1"/>
    </row>
    <row r="12" spans="1:26" ht="15.75" customHeight="1" x14ac:dyDescent="0.15">
      <c r="A12" s="1"/>
      <c r="B12" s="13" t="s">
        <v>15</v>
      </c>
      <c r="C12" s="14">
        <v>0.14000000000000001</v>
      </c>
      <c r="D12" s="1"/>
      <c r="E12" s="13" t="s">
        <v>16</v>
      </c>
      <c r="F12" s="32"/>
      <c r="G12" s="32">
        <f t="shared" ref="G12:O12" si="1">(F13*($C$10+$C$11))</f>
        <v>97500</v>
      </c>
      <c r="H12" s="32">
        <f t="shared" si="1"/>
        <v>116512.5</v>
      </c>
      <c r="I12" s="32">
        <f t="shared" si="1"/>
        <v>139232.4375</v>
      </c>
      <c r="J12" s="32">
        <f t="shared" si="1"/>
        <v>166382.7628125</v>
      </c>
      <c r="K12" s="32">
        <f t="shared" si="1"/>
        <v>198827.40156093752</v>
      </c>
      <c r="L12" s="32">
        <f t="shared" si="1"/>
        <v>237598.7448653203</v>
      </c>
      <c r="M12" s="32">
        <f t="shared" si="1"/>
        <v>283930.5001140578</v>
      </c>
      <c r="N12" s="32">
        <f t="shared" si="1"/>
        <v>339296.94763629907</v>
      </c>
      <c r="O12" s="33">
        <f t="shared" si="1"/>
        <v>405459.85242537741</v>
      </c>
      <c r="P12" s="18"/>
      <c r="Q12" s="1"/>
      <c r="R12" s="19" t="s">
        <v>17</v>
      </c>
      <c r="S12" s="34">
        <f t="shared" ref="S12:T12" si="2">SUM(S9:S11)</f>
        <v>2484741.1469144924</v>
      </c>
      <c r="T12" s="35">
        <f t="shared" si="2"/>
        <v>1411409.392520437</v>
      </c>
      <c r="X12" s="1"/>
      <c r="Y12" s="1"/>
      <c r="Z12" s="1"/>
    </row>
    <row r="13" spans="1:26" ht="15.75" customHeight="1" x14ac:dyDescent="0.15">
      <c r="A13" s="1"/>
      <c r="B13" s="13"/>
      <c r="C13" s="21"/>
      <c r="D13" s="1"/>
      <c r="E13" s="13" t="s">
        <v>18</v>
      </c>
      <c r="F13" s="32">
        <f>(C16+F12)</f>
        <v>500000</v>
      </c>
      <c r="G13" s="32">
        <f t="shared" ref="G13:O13" si="3">(F13+G12)</f>
        <v>597500</v>
      </c>
      <c r="H13" s="32">
        <f t="shared" si="3"/>
        <v>714012.5</v>
      </c>
      <c r="I13" s="32">
        <f t="shared" si="3"/>
        <v>853244.9375</v>
      </c>
      <c r="J13" s="32">
        <f t="shared" si="3"/>
        <v>1019627.7003125</v>
      </c>
      <c r="K13" s="32">
        <f t="shared" si="3"/>
        <v>1218455.1018734374</v>
      </c>
      <c r="L13" s="32">
        <f t="shared" si="3"/>
        <v>1456053.8467387578</v>
      </c>
      <c r="M13" s="32">
        <f t="shared" si="3"/>
        <v>1739984.3468528157</v>
      </c>
      <c r="N13" s="32">
        <f t="shared" si="3"/>
        <v>2079281.2944891148</v>
      </c>
      <c r="O13" s="36">
        <f t="shared" si="3"/>
        <v>2484741.1469144924</v>
      </c>
      <c r="P13" s="18"/>
      <c r="Q13" s="1"/>
      <c r="R13" s="25"/>
      <c r="S13" s="20"/>
      <c r="T13" s="21"/>
      <c r="X13" s="1"/>
      <c r="Y13" s="1"/>
      <c r="Z13" s="1"/>
    </row>
    <row r="14" spans="1:26" x14ac:dyDescent="0.2">
      <c r="A14" s="1"/>
      <c r="B14" s="13"/>
      <c r="C14" s="21"/>
      <c r="D14" s="1"/>
      <c r="E14" s="15"/>
      <c r="F14" s="1"/>
      <c r="G14" s="1"/>
      <c r="H14" s="1"/>
      <c r="I14" s="1"/>
      <c r="J14" s="1"/>
      <c r="K14" s="1"/>
      <c r="L14" s="1"/>
      <c r="M14" s="1"/>
      <c r="N14" s="1"/>
      <c r="O14" s="37"/>
      <c r="P14" s="38"/>
      <c r="Q14" s="1"/>
      <c r="R14" s="19" t="s">
        <v>19</v>
      </c>
      <c r="S14" s="20"/>
      <c r="T14" s="21"/>
      <c r="X14" s="1"/>
      <c r="Y14" s="1"/>
      <c r="Z14" s="1"/>
    </row>
    <row r="15" spans="1:26" ht="15.75" customHeight="1" x14ac:dyDescent="0.15">
      <c r="A15" s="1"/>
      <c r="B15" s="13" t="s">
        <v>20</v>
      </c>
      <c r="C15" s="21"/>
      <c r="D15" s="1"/>
      <c r="E15" s="39" t="s">
        <v>19</v>
      </c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18"/>
      <c r="Q15" s="1"/>
      <c r="R15" s="25" t="s">
        <v>21</v>
      </c>
      <c r="S15" s="26">
        <f>P26</f>
        <v>1029864.6054970353</v>
      </c>
      <c r="T15" s="27">
        <v>0</v>
      </c>
      <c r="X15" s="1"/>
      <c r="Y15" s="1"/>
      <c r="Z15" s="1"/>
    </row>
    <row r="16" spans="1:26" ht="15.75" customHeight="1" x14ac:dyDescent="0.15">
      <c r="A16" s="1"/>
      <c r="B16" s="13" t="s">
        <v>22</v>
      </c>
      <c r="C16" s="42">
        <v>500000</v>
      </c>
      <c r="D16" s="1"/>
      <c r="E16" s="15"/>
      <c r="F16" s="1"/>
      <c r="G16" s="1"/>
      <c r="H16" s="1"/>
      <c r="I16" s="1"/>
      <c r="J16" s="1"/>
      <c r="K16" s="1"/>
      <c r="L16" s="1"/>
      <c r="M16" s="1"/>
      <c r="N16" s="1"/>
      <c r="O16" s="43"/>
      <c r="P16" s="18"/>
      <c r="Q16" s="1"/>
      <c r="R16" s="25" t="s">
        <v>23</v>
      </c>
      <c r="S16" s="29">
        <v>0</v>
      </c>
      <c r="T16" s="30">
        <f>P30</f>
        <v>600544.05018419353</v>
      </c>
      <c r="X16" s="1"/>
      <c r="Y16" s="1"/>
      <c r="Z16" s="1"/>
    </row>
    <row r="17" spans="1:26" ht="15.75" customHeight="1" x14ac:dyDescent="0.15">
      <c r="A17" s="1"/>
      <c r="B17" s="44" t="s">
        <v>24</v>
      </c>
      <c r="C17" s="45">
        <v>235</v>
      </c>
      <c r="D17" s="1"/>
      <c r="E17" s="46" t="s">
        <v>25</v>
      </c>
      <c r="F17" s="47">
        <f t="shared" ref="F17:O17" si="4">($C$23*12)</f>
        <v>81727.395366291807</v>
      </c>
      <c r="G17" s="47">
        <f t="shared" si="4"/>
        <v>81727.395366291807</v>
      </c>
      <c r="H17" s="47">
        <f t="shared" si="4"/>
        <v>81727.395366291807</v>
      </c>
      <c r="I17" s="47">
        <f t="shared" si="4"/>
        <v>81727.395366291807</v>
      </c>
      <c r="J17" s="47">
        <f t="shared" si="4"/>
        <v>81727.395366291807</v>
      </c>
      <c r="K17" s="47">
        <f t="shared" si="4"/>
        <v>81727.395366291807</v>
      </c>
      <c r="L17" s="47">
        <f t="shared" si="4"/>
        <v>81727.395366291807</v>
      </c>
      <c r="M17" s="47">
        <f t="shared" si="4"/>
        <v>81727.395366291807</v>
      </c>
      <c r="N17" s="47">
        <f t="shared" si="4"/>
        <v>81727.395366291807</v>
      </c>
      <c r="O17" s="47">
        <f t="shared" si="4"/>
        <v>81727.395366291807</v>
      </c>
      <c r="P17" s="48">
        <f>SUM(F17:O17)</f>
        <v>817273.95366291795</v>
      </c>
      <c r="Q17" s="1"/>
      <c r="R17" s="25" t="s">
        <v>26</v>
      </c>
      <c r="S17" s="29">
        <v>0</v>
      </c>
      <c r="T17" s="30">
        <f>(P31+P33)</f>
        <v>661720</v>
      </c>
      <c r="X17" s="1"/>
      <c r="Y17" s="1"/>
      <c r="Z17" s="1"/>
    </row>
    <row r="18" spans="1:26" ht="15.75" customHeight="1" x14ac:dyDescent="0.15">
      <c r="A18" s="1"/>
      <c r="B18" s="13" t="s">
        <v>27</v>
      </c>
      <c r="C18" s="49">
        <f>(C16/C17)</f>
        <v>2127.6595744680849</v>
      </c>
      <c r="D18" s="1"/>
      <c r="E18" s="46" t="s">
        <v>28</v>
      </c>
      <c r="F18" s="47">
        <f t="shared" ref="F18:F20" si="5">C25</f>
        <v>150</v>
      </c>
      <c r="G18" s="47">
        <f t="shared" ref="G18:O18" si="6">(F18+F18*G8)</f>
        <v>177</v>
      </c>
      <c r="H18" s="47">
        <f t="shared" si="6"/>
        <v>208.86</v>
      </c>
      <c r="I18" s="47">
        <f t="shared" si="6"/>
        <v>246.45480000000001</v>
      </c>
      <c r="J18" s="47">
        <f t="shared" si="6"/>
        <v>290.816664</v>
      </c>
      <c r="K18" s="47">
        <f t="shared" si="6"/>
        <v>343.16366352</v>
      </c>
      <c r="L18" s="47">
        <f t="shared" si="6"/>
        <v>404.93312295359999</v>
      </c>
      <c r="M18" s="47">
        <f t="shared" si="6"/>
        <v>477.821085085248</v>
      </c>
      <c r="N18" s="47">
        <f t="shared" si="6"/>
        <v>563.82888040059265</v>
      </c>
      <c r="O18" s="50">
        <f t="shared" si="6"/>
        <v>665.31807887269929</v>
      </c>
      <c r="P18" s="18"/>
      <c r="Q18" s="1"/>
      <c r="R18" s="19" t="s">
        <v>29</v>
      </c>
      <c r="S18" s="34">
        <f>SUM(S15:S16)</f>
        <v>1029864.6054970353</v>
      </c>
      <c r="T18" s="35">
        <f>SUM(T15:T17)</f>
        <v>1262264.0501841935</v>
      </c>
      <c r="X18" s="1"/>
      <c r="Y18" s="1"/>
      <c r="Z18" s="1"/>
    </row>
    <row r="19" spans="1:26" ht="15.75" customHeight="1" x14ac:dyDescent="0.15">
      <c r="A19" s="1"/>
      <c r="B19" s="13" t="s">
        <v>30</v>
      </c>
      <c r="C19" s="31">
        <v>0.2</v>
      </c>
      <c r="D19" s="1"/>
      <c r="E19" s="46" t="s">
        <v>31</v>
      </c>
      <c r="F19" s="47">
        <f t="shared" si="5"/>
        <v>400</v>
      </c>
      <c r="G19" s="47">
        <f t="shared" ref="G19:O19" si="7">(F19+F19*G8)</f>
        <v>472</v>
      </c>
      <c r="H19" s="47">
        <f t="shared" si="7"/>
        <v>556.96</v>
      </c>
      <c r="I19" s="47">
        <f t="shared" si="7"/>
        <v>657.21280000000002</v>
      </c>
      <c r="J19" s="47">
        <f t="shared" si="7"/>
        <v>775.51110400000005</v>
      </c>
      <c r="K19" s="47">
        <f t="shared" si="7"/>
        <v>915.10310272000004</v>
      </c>
      <c r="L19" s="47">
        <f t="shared" si="7"/>
        <v>1079.8216612096001</v>
      </c>
      <c r="M19" s="47">
        <f t="shared" si="7"/>
        <v>1274.189560227328</v>
      </c>
      <c r="N19" s="47">
        <f t="shared" si="7"/>
        <v>1503.543681068247</v>
      </c>
      <c r="O19" s="50">
        <f t="shared" si="7"/>
        <v>1774.1815436605316</v>
      </c>
      <c r="P19" s="18"/>
      <c r="Q19" s="1"/>
      <c r="R19" s="25"/>
      <c r="S19" s="20"/>
      <c r="T19" s="21"/>
      <c r="X19" s="1"/>
      <c r="Y19" s="1"/>
      <c r="Z19" s="1"/>
    </row>
    <row r="20" spans="1:26" x14ac:dyDescent="0.2">
      <c r="A20" s="1"/>
      <c r="B20" s="44" t="s">
        <v>32</v>
      </c>
      <c r="C20" s="49">
        <f>(C16*C19)</f>
        <v>100000</v>
      </c>
      <c r="D20" s="1"/>
      <c r="E20" s="46" t="s">
        <v>33</v>
      </c>
      <c r="F20" s="51">
        <f t="shared" si="5"/>
        <v>500</v>
      </c>
      <c r="G20" s="52">
        <f t="shared" ref="G20:O20" si="8">(G19+G19*G8)</f>
        <v>556.96</v>
      </c>
      <c r="H20" s="52">
        <f t="shared" si="8"/>
        <v>657.21280000000002</v>
      </c>
      <c r="I20" s="52">
        <f t="shared" si="8"/>
        <v>775.51110400000005</v>
      </c>
      <c r="J20" s="52">
        <f t="shared" si="8"/>
        <v>915.10310272000004</v>
      </c>
      <c r="K20" s="52">
        <f t="shared" si="8"/>
        <v>1079.8216612096001</v>
      </c>
      <c r="L20" s="52">
        <f t="shared" si="8"/>
        <v>1274.189560227328</v>
      </c>
      <c r="M20" s="52">
        <f t="shared" si="8"/>
        <v>1503.543681068247</v>
      </c>
      <c r="N20" s="52">
        <f t="shared" si="8"/>
        <v>1774.1815436605316</v>
      </c>
      <c r="O20" s="53">
        <f t="shared" si="8"/>
        <v>2093.5342215194273</v>
      </c>
      <c r="P20" s="18"/>
      <c r="Q20" s="1"/>
      <c r="R20" s="54"/>
      <c r="S20" s="55"/>
      <c r="T20" s="56"/>
      <c r="X20" s="1"/>
      <c r="Y20" s="1"/>
      <c r="Z20" s="1"/>
    </row>
    <row r="21" spans="1:26" x14ac:dyDescent="0.2">
      <c r="A21" s="1"/>
      <c r="B21" s="13" t="s">
        <v>34</v>
      </c>
      <c r="C21" s="31">
        <v>1.37E-2</v>
      </c>
      <c r="D21" s="1"/>
      <c r="E21" s="57" t="s">
        <v>35</v>
      </c>
      <c r="F21" s="51">
        <f>C32</f>
        <v>500</v>
      </c>
      <c r="G21" s="52">
        <f t="shared" ref="G21:I21" si="9">(F21+F21*G8/2)</f>
        <v>545</v>
      </c>
      <c r="H21" s="52">
        <f t="shared" si="9"/>
        <v>594.04999999999995</v>
      </c>
      <c r="I21" s="52">
        <f t="shared" si="9"/>
        <v>647.5145</v>
      </c>
      <c r="J21" s="52">
        <f>(J13*0.5*0.002)</f>
        <v>1019.6277003125</v>
      </c>
      <c r="K21" s="52">
        <f>(J21+J21*K8/2)</f>
        <v>1111.394193340625</v>
      </c>
      <c r="L21" s="52">
        <f t="shared" ref="L21:M21" si="10">(K21+K21*L8)</f>
        <v>1311.4451481419374</v>
      </c>
      <c r="M21" s="52">
        <f t="shared" si="10"/>
        <v>1547.5052748074861</v>
      </c>
      <c r="N21" s="52">
        <f>(N13*0.5*0.002)</f>
        <v>2079.2812944891148</v>
      </c>
      <c r="O21" s="53">
        <f>(N21+N21*O8)</f>
        <v>2453.5519274971552</v>
      </c>
      <c r="P21" s="18"/>
      <c r="Q21" s="1"/>
      <c r="R21" s="1"/>
      <c r="S21" s="1"/>
      <c r="T21" s="1"/>
      <c r="X21" s="1"/>
      <c r="Y21" s="1"/>
      <c r="Z21" s="1"/>
    </row>
    <row r="22" spans="1:26" ht="15.75" customHeight="1" x14ac:dyDescent="0.15">
      <c r="A22" s="1"/>
      <c r="B22" s="44" t="s">
        <v>36</v>
      </c>
      <c r="C22" s="58">
        <v>120</v>
      </c>
      <c r="D22" s="1"/>
      <c r="E22" s="46" t="s">
        <v>37</v>
      </c>
      <c r="F22" s="47">
        <f t="shared" ref="F22:O22" si="11">(F13*0.005)</f>
        <v>2500</v>
      </c>
      <c r="G22" s="47">
        <f t="shared" si="11"/>
        <v>2987.5</v>
      </c>
      <c r="H22" s="47">
        <f t="shared" si="11"/>
        <v>3570.0625</v>
      </c>
      <c r="I22" s="47">
        <f t="shared" si="11"/>
        <v>4266.2246875000001</v>
      </c>
      <c r="J22" s="47">
        <f t="shared" si="11"/>
        <v>5098.1385015625001</v>
      </c>
      <c r="K22" s="47">
        <f t="shared" si="11"/>
        <v>6092.2755093671867</v>
      </c>
      <c r="L22" s="47">
        <f t="shared" si="11"/>
        <v>7280.2692336937889</v>
      </c>
      <c r="M22" s="47">
        <f t="shared" si="11"/>
        <v>8699.9217342640786</v>
      </c>
      <c r="N22" s="47">
        <f t="shared" si="11"/>
        <v>10396.406472445575</v>
      </c>
      <c r="O22" s="50">
        <f t="shared" si="11"/>
        <v>12423.705734572462</v>
      </c>
      <c r="P22" s="18"/>
      <c r="Q22" s="1"/>
      <c r="R22" s="1"/>
      <c r="S22" s="1"/>
      <c r="T22" s="1"/>
      <c r="X22" s="1"/>
      <c r="Y22" s="1"/>
      <c r="Z22" s="1"/>
    </row>
    <row r="23" spans="1:26" ht="15.75" customHeight="1" x14ac:dyDescent="0.15">
      <c r="A23" s="1"/>
      <c r="B23" s="13" t="s">
        <v>38</v>
      </c>
      <c r="C23" s="59">
        <f>-(PMT(C21,C22,(C16*(1-C19))))</f>
        <v>6810.6162805243166</v>
      </c>
      <c r="D23" s="1"/>
      <c r="E23" s="46" t="s">
        <v>39</v>
      </c>
      <c r="F23" s="60">
        <f>SUM(C29,C31,C24)</f>
        <v>13400</v>
      </c>
      <c r="G23" s="1"/>
      <c r="H23" s="1"/>
      <c r="I23" s="1"/>
      <c r="J23" s="1"/>
      <c r="K23" s="1"/>
      <c r="L23" s="1"/>
      <c r="M23" s="1"/>
      <c r="N23" s="1"/>
      <c r="O23" s="43"/>
      <c r="P23" s="18"/>
      <c r="Q23" s="1"/>
      <c r="R23" s="1"/>
      <c r="S23" s="1"/>
      <c r="T23" s="1"/>
      <c r="X23" s="1"/>
      <c r="Y23" s="1"/>
      <c r="Z23" s="1"/>
    </row>
    <row r="24" spans="1:26" ht="15.75" customHeight="1" x14ac:dyDescent="0.15">
      <c r="A24" s="1"/>
      <c r="B24" s="13" t="s">
        <v>40</v>
      </c>
      <c r="C24" s="42">
        <v>3000</v>
      </c>
      <c r="D24" s="1"/>
      <c r="E24" s="61" t="s">
        <v>41</v>
      </c>
      <c r="F24" s="62">
        <f>C20</f>
        <v>100000</v>
      </c>
      <c r="G24" s="63"/>
      <c r="H24" s="63"/>
      <c r="I24" s="63"/>
      <c r="J24" s="63"/>
      <c r="K24" s="63"/>
      <c r="L24" s="63"/>
      <c r="M24" s="63"/>
      <c r="N24" s="63"/>
      <c r="O24" s="64"/>
      <c r="P24" s="18"/>
      <c r="Q24" s="1"/>
      <c r="R24" s="1"/>
      <c r="S24" s="1"/>
      <c r="T24" s="1"/>
      <c r="X24" s="1"/>
      <c r="Y24" s="1"/>
      <c r="Z24" s="1"/>
    </row>
    <row r="25" spans="1:26" ht="15.75" customHeight="1" x14ac:dyDescent="0.15">
      <c r="A25" s="1"/>
      <c r="B25" s="13" t="s">
        <v>42</v>
      </c>
      <c r="C25" s="42">
        <v>150</v>
      </c>
      <c r="D25" s="1"/>
      <c r="E25" s="15"/>
      <c r="F25" s="1"/>
      <c r="G25" s="1"/>
      <c r="H25" s="1"/>
      <c r="I25" s="1"/>
      <c r="J25" s="1"/>
      <c r="K25" s="1"/>
      <c r="L25" s="1"/>
      <c r="M25" s="1"/>
      <c r="N25" s="1"/>
      <c r="O25" s="43"/>
      <c r="P25" s="18"/>
      <c r="Q25" s="1"/>
      <c r="R25" s="1"/>
      <c r="S25" s="1"/>
      <c r="T25" s="1"/>
      <c r="X25" s="1"/>
      <c r="Y25" s="1"/>
      <c r="Z25" s="1"/>
    </row>
    <row r="26" spans="1:26" ht="15.75" customHeight="1" x14ac:dyDescent="0.15">
      <c r="A26" s="1"/>
      <c r="B26" s="13" t="s">
        <v>43</v>
      </c>
      <c r="C26" s="42">
        <v>400</v>
      </c>
      <c r="D26" s="1"/>
      <c r="E26" s="65" t="s">
        <v>29</v>
      </c>
      <c r="F26" s="66">
        <f t="shared" ref="F26:O26" si="12">SUM(F17:F24)</f>
        <v>199177.39536629181</v>
      </c>
      <c r="G26" s="66">
        <f t="shared" si="12"/>
        <v>86465.855366291813</v>
      </c>
      <c r="H26" s="66">
        <f t="shared" si="12"/>
        <v>87314.54066629181</v>
      </c>
      <c r="I26" s="66">
        <f t="shared" si="12"/>
        <v>88320.313257791815</v>
      </c>
      <c r="J26" s="66">
        <f t="shared" si="12"/>
        <v>89826.592438886801</v>
      </c>
      <c r="K26" s="66">
        <f t="shared" si="12"/>
        <v>91269.153496449217</v>
      </c>
      <c r="L26" s="66">
        <f t="shared" si="12"/>
        <v>93078.054092518069</v>
      </c>
      <c r="M26" s="66">
        <f t="shared" si="12"/>
        <v>95230.376701744186</v>
      </c>
      <c r="N26" s="66">
        <f t="shared" si="12"/>
        <v>98044.637238355848</v>
      </c>
      <c r="O26" s="67">
        <f t="shared" si="12"/>
        <v>101137.68687241408</v>
      </c>
      <c r="P26" s="68">
        <f t="shared" ref="P26:P27" si="13">SUM(F26:O26)</f>
        <v>1029864.6054970353</v>
      </c>
      <c r="Q26" s="1"/>
      <c r="R26" s="1"/>
      <c r="S26" s="1"/>
      <c r="T26" s="1"/>
      <c r="X26" s="1"/>
      <c r="Y26" s="1"/>
      <c r="Z26" s="1"/>
    </row>
    <row r="27" spans="1:26" ht="15.75" customHeight="1" x14ac:dyDescent="0.15">
      <c r="A27" s="1"/>
      <c r="B27" s="13" t="s">
        <v>44</v>
      </c>
      <c r="C27" s="42">
        <v>500</v>
      </c>
      <c r="D27" s="1"/>
      <c r="E27" s="65" t="s">
        <v>45</v>
      </c>
      <c r="F27" s="66">
        <f t="shared" ref="F27:O27" si="14">F26/(1+F8)^F9</f>
        <v>168794.40285278967</v>
      </c>
      <c r="G27" s="66">
        <f t="shared" si="14"/>
        <v>62098.431030086052</v>
      </c>
      <c r="H27" s="66">
        <f t="shared" si="14"/>
        <v>53142.325083316588</v>
      </c>
      <c r="I27" s="66">
        <f t="shared" si="14"/>
        <v>45554.635028303521</v>
      </c>
      <c r="J27" s="66">
        <f t="shared" si="14"/>
        <v>39264.031417614657</v>
      </c>
      <c r="K27" s="66">
        <f t="shared" si="14"/>
        <v>33808.973009195208</v>
      </c>
      <c r="L27" s="66">
        <f t="shared" si="14"/>
        <v>29219.531221370878</v>
      </c>
      <c r="M27" s="66">
        <f t="shared" si="14"/>
        <v>25334.914549096269</v>
      </c>
      <c r="N27" s="66">
        <f t="shared" si="14"/>
        <v>22104.758690267507</v>
      </c>
      <c r="O27" s="67">
        <f t="shared" si="14"/>
        <v>19323.818227152991</v>
      </c>
      <c r="P27" s="68">
        <f t="shared" si="13"/>
        <v>498645.82110919332</v>
      </c>
      <c r="Q27" s="1"/>
      <c r="R27" s="1"/>
      <c r="S27" s="1"/>
      <c r="T27" s="1"/>
      <c r="X27" s="1"/>
      <c r="Y27" s="1"/>
      <c r="Z27" s="1"/>
    </row>
    <row r="28" spans="1:26" ht="15.75" customHeight="1" x14ac:dyDescent="0.15">
      <c r="A28" s="1"/>
      <c r="B28" s="13" t="s">
        <v>46</v>
      </c>
      <c r="C28" s="28">
        <v>0.02</v>
      </c>
      <c r="D28" s="1"/>
      <c r="E28" s="15"/>
      <c r="F28" s="1"/>
      <c r="G28" s="1"/>
      <c r="H28" s="1"/>
      <c r="I28" s="1"/>
      <c r="J28" s="1"/>
      <c r="K28" s="1"/>
      <c r="L28" s="1"/>
      <c r="M28" s="1"/>
      <c r="N28" s="1"/>
      <c r="O28" s="43"/>
      <c r="P28" s="18"/>
      <c r="Q28" s="1"/>
      <c r="R28" s="1"/>
      <c r="S28" s="1"/>
      <c r="T28" s="1"/>
      <c r="X28" s="1"/>
      <c r="Y28" s="1"/>
      <c r="Z28" s="1"/>
    </row>
    <row r="29" spans="1:26" ht="15.75" customHeight="1" x14ac:dyDescent="0.15">
      <c r="A29" s="1"/>
      <c r="B29" s="13" t="s">
        <v>46</v>
      </c>
      <c r="C29" s="49">
        <v>10000</v>
      </c>
      <c r="D29" s="1"/>
      <c r="E29" s="69" t="s">
        <v>47</v>
      </c>
      <c r="F29" s="70">
        <f t="shared" ref="F29:O29" si="15">(F13/(F30/12))</f>
        <v>235.00000000000003</v>
      </c>
      <c r="G29" s="70">
        <f t="shared" si="15"/>
        <v>237.98728813559327</v>
      </c>
      <c r="H29" s="70">
        <f t="shared" si="15"/>
        <v>241.01255027291018</v>
      </c>
      <c r="I29" s="70">
        <f t="shared" si="15"/>
        <v>244.07626913231158</v>
      </c>
      <c r="J29" s="70">
        <f t="shared" si="15"/>
        <v>247.17893357043425</v>
      </c>
      <c r="K29" s="70">
        <f t="shared" si="15"/>
        <v>250.321038658194</v>
      </c>
      <c r="L29" s="70">
        <f t="shared" si="15"/>
        <v>253.50308575978127</v>
      </c>
      <c r="M29" s="70">
        <f t="shared" si="15"/>
        <v>256.72558261265988</v>
      </c>
      <c r="N29" s="70">
        <f t="shared" si="15"/>
        <v>259.98904340858354</v>
      </c>
      <c r="O29" s="71">
        <f t="shared" si="15"/>
        <v>263.29398887564184</v>
      </c>
      <c r="P29" s="18"/>
      <c r="Q29" s="1"/>
      <c r="R29" s="1"/>
      <c r="S29" s="1"/>
      <c r="T29" s="1"/>
      <c r="X29" s="1"/>
      <c r="Y29" s="1"/>
      <c r="Z29" s="1"/>
    </row>
    <row r="30" spans="1:26" ht="15.75" customHeight="1" x14ac:dyDescent="0.15">
      <c r="A30" s="1"/>
      <c r="B30" s="13" t="s">
        <v>48</v>
      </c>
      <c r="C30" s="49">
        <v>0</v>
      </c>
      <c r="D30" s="1"/>
      <c r="E30" s="72" t="s">
        <v>49</v>
      </c>
      <c r="F30" s="73">
        <f>(C18*12)</f>
        <v>25531.914893617017</v>
      </c>
      <c r="G30" s="73">
        <f t="shared" ref="G30:O30" si="16">(F30*(1+G8))</f>
        <v>30127.659574468078</v>
      </c>
      <c r="H30" s="73">
        <f t="shared" si="16"/>
        <v>35550.638297872327</v>
      </c>
      <c r="I30" s="73">
        <f t="shared" si="16"/>
        <v>41949.753191489341</v>
      </c>
      <c r="J30" s="73">
        <f t="shared" si="16"/>
        <v>49500.708765957417</v>
      </c>
      <c r="K30" s="73">
        <f t="shared" si="16"/>
        <v>58410.836343829746</v>
      </c>
      <c r="L30" s="73">
        <f t="shared" si="16"/>
        <v>68924.786885719092</v>
      </c>
      <c r="M30" s="73">
        <f t="shared" si="16"/>
        <v>81331.24852514852</v>
      </c>
      <c r="N30" s="73">
        <f t="shared" si="16"/>
        <v>95970.873259675252</v>
      </c>
      <c r="O30" s="74">
        <f t="shared" si="16"/>
        <v>113245.63044641679</v>
      </c>
      <c r="P30" s="75">
        <f t="shared" ref="P30:P31" si="17">SUM(F30:O30)</f>
        <v>600544.05018419353</v>
      </c>
      <c r="Q30" s="1"/>
      <c r="R30" s="1"/>
      <c r="S30" s="1"/>
      <c r="T30" s="1"/>
      <c r="X30" s="1"/>
      <c r="Y30" s="1"/>
      <c r="Z30" s="1"/>
    </row>
    <row r="31" spans="1:26" ht="15.75" customHeight="1" x14ac:dyDescent="0.15">
      <c r="A31" s="1"/>
      <c r="B31" s="13" t="s">
        <v>50</v>
      </c>
      <c r="C31" s="42">
        <v>400</v>
      </c>
      <c r="D31" s="1"/>
      <c r="E31" s="76" t="s">
        <v>51</v>
      </c>
      <c r="F31" s="77">
        <v>56172</v>
      </c>
      <c r="G31" s="77">
        <v>56172</v>
      </c>
      <c r="H31" s="77">
        <v>56172</v>
      </c>
      <c r="I31" s="77">
        <v>56172</v>
      </c>
      <c r="J31" s="77">
        <v>56172</v>
      </c>
      <c r="K31" s="77">
        <v>56172</v>
      </c>
      <c r="L31" s="77">
        <v>56172</v>
      </c>
      <c r="M31" s="77">
        <v>56172</v>
      </c>
      <c r="N31" s="77">
        <v>56172</v>
      </c>
      <c r="O31" s="78">
        <v>56172</v>
      </c>
      <c r="P31" s="79">
        <f t="shared" si="17"/>
        <v>561720</v>
      </c>
      <c r="Q31" s="1"/>
      <c r="R31" s="1"/>
      <c r="S31" s="1"/>
      <c r="T31" s="1"/>
      <c r="X31" s="1"/>
      <c r="Y31" s="1"/>
      <c r="Z31" s="1"/>
    </row>
    <row r="32" spans="1:26" ht="15.75" customHeight="1" x14ac:dyDescent="0.15">
      <c r="A32" s="1"/>
      <c r="B32" s="13" t="s">
        <v>52</v>
      </c>
      <c r="C32" s="42">
        <f>(C16*0.5*0.002)</f>
        <v>500</v>
      </c>
      <c r="D32" s="1"/>
      <c r="E32" s="80"/>
      <c r="F32" s="77"/>
      <c r="G32" s="77">
        <f>(F31*(1+C12))</f>
        <v>64036.080000000009</v>
      </c>
      <c r="H32" s="77">
        <f t="shared" ref="H32:O32" si="18">((G31+G32)*(1+$C$12))</f>
        <v>137037.21120000002</v>
      </c>
      <c r="I32" s="77">
        <f t="shared" si="18"/>
        <v>220258.50076800006</v>
      </c>
      <c r="J32" s="77">
        <f t="shared" si="18"/>
        <v>315130.77087552007</v>
      </c>
      <c r="K32" s="77">
        <f t="shared" si="18"/>
        <v>423285.15879809292</v>
      </c>
      <c r="L32" s="77">
        <f t="shared" si="18"/>
        <v>546581.16102982603</v>
      </c>
      <c r="M32" s="77">
        <f t="shared" si="18"/>
        <v>687138.60357400181</v>
      </c>
      <c r="N32" s="77">
        <f t="shared" si="18"/>
        <v>847374.08807436214</v>
      </c>
      <c r="O32" s="78">
        <f t="shared" si="18"/>
        <v>1030042.540404773</v>
      </c>
      <c r="P32" s="81">
        <f>SUM(O31:O32)</f>
        <v>1086214.5404047729</v>
      </c>
      <c r="Q32" s="1"/>
      <c r="R32" s="1"/>
      <c r="S32" s="1"/>
      <c r="T32" s="1"/>
      <c r="X32" s="1"/>
      <c r="Y32" s="1"/>
      <c r="Z32" s="1"/>
    </row>
    <row r="33" spans="1:26" ht="15.75" customHeight="1" x14ac:dyDescent="0.15">
      <c r="A33" s="1"/>
      <c r="B33" s="82" t="s">
        <v>53</v>
      </c>
      <c r="C33" s="83">
        <v>5.0000000000000001E-3</v>
      </c>
      <c r="D33" s="1"/>
      <c r="E33" s="84" t="s">
        <v>54</v>
      </c>
      <c r="F33" s="85">
        <f>C20</f>
        <v>100000</v>
      </c>
      <c r="G33" s="85">
        <f t="shared" ref="G33:O33" si="19">(F33*(1+$C$12))</f>
        <v>114000.00000000001</v>
      </c>
      <c r="H33" s="85">
        <f t="shared" si="19"/>
        <v>129960.00000000003</v>
      </c>
      <c r="I33" s="85">
        <f t="shared" si="19"/>
        <v>148154.40000000005</v>
      </c>
      <c r="J33" s="85">
        <f t="shared" si="19"/>
        <v>168896.01600000009</v>
      </c>
      <c r="K33" s="85">
        <f t="shared" si="19"/>
        <v>192541.45824000012</v>
      </c>
      <c r="L33" s="85">
        <f t="shared" si="19"/>
        <v>219497.26239360016</v>
      </c>
      <c r="M33" s="85">
        <f t="shared" si="19"/>
        <v>250226.87912870423</v>
      </c>
      <c r="N33" s="85">
        <f t="shared" si="19"/>
        <v>285258.64220672287</v>
      </c>
      <c r="O33" s="86">
        <f t="shared" si="19"/>
        <v>325194.85211566411</v>
      </c>
      <c r="P33" s="87">
        <f>F33</f>
        <v>100000</v>
      </c>
      <c r="Q33" s="1"/>
      <c r="R33" s="1"/>
      <c r="S33" s="1"/>
      <c r="T33" s="1"/>
      <c r="X33" s="1"/>
      <c r="Y33" s="1"/>
      <c r="Z33" s="1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88" t="s">
        <v>55</v>
      </c>
      <c r="C35" s="1"/>
      <c r="D35" s="1"/>
      <c r="E35" s="1"/>
      <c r="F35" s="1"/>
      <c r="G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88" t="s">
        <v>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</sheetData>
  <hyperlinks>
    <hyperlink ref="B36" r:id="rId1" xr:uid="{D5941A83-7287-BD47-9DD3-604C19B5C80E}"/>
    <hyperlink ref="B35" r:id="rId2" xr:uid="{A7FE7DB2-15C4-CB48-9955-C63A2B98D407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</cp:lastModifiedBy>
  <dcterms:modified xsi:type="dcterms:W3CDTF">2021-10-19T11:28:12Z</dcterms:modified>
</cp:coreProperties>
</file>